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 galano\Desktop\"/>
    </mc:Choice>
  </mc:AlternateContent>
  <bookViews>
    <workbookView xWindow="0" yWindow="0" windowWidth="23040" windowHeight="8532"/>
  </bookViews>
  <sheets>
    <sheet name="Tabella Ravvedimento" sheetId="1" r:id="rId1"/>
  </sheets>
  <definedNames>
    <definedName name="_xlnm.Print_Area" localSheetId="0">'Tabella Ravvedimento'!$B$3:$K$10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1" i="1" s="1"/>
  <c r="D26" i="1"/>
  <c r="D30" i="1"/>
  <c r="X10" i="1"/>
  <c r="W10" i="1"/>
  <c r="V10" i="1"/>
  <c r="U10" i="1"/>
  <c r="T10" i="1"/>
  <c r="S10" i="1"/>
  <c r="Q10" i="1"/>
  <c r="P10" i="1"/>
  <c r="O10" i="1"/>
  <c r="N10" i="1"/>
  <c r="M10" i="1"/>
  <c r="L10" i="1"/>
  <c r="K10" i="1"/>
  <c r="J10" i="1"/>
  <c r="I10" i="1"/>
  <c r="H10" i="1"/>
  <c r="G10" i="1"/>
  <c r="F10" i="1"/>
  <c r="X9" i="1"/>
  <c r="W9" i="1"/>
  <c r="V9" i="1"/>
  <c r="U9" i="1"/>
  <c r="T9" i="1"/>
  <c r="S9" i="1"/>
  <c r="Q9" i="1"/>
  <c r="P9" i="1"/>
  <c r="O9" i="1"/>
  <c r="N9" i="1"/>
  <c r="M9" i="1"/>
  <c r="L9" i="1"/>
  <c r="K9" i="1"/>
  <c r="J9" i="1"/>
  <c r="I9" i="1"/>
  <c r="H9" i="1"/>
  <c r="G9" i="1"/>
  <c r="F9" i="1"/>
  <c r="X8" i="1"/>
  <c r="W8" i="1"/>
  <c r="V8" i="1"/>
  <c r="U8" i="1"/>
  <c r="T8" i="1"/>
  <c r="S8" i="1"/>
  <c r="Q8" i="1"/>
  <c r="P8" i="1"/>
  <c r="O8" i="1"/>
  <c r="N8" i="1"/>
  <c r="M8" i="1"/>
  <c r="L8" i="1"/>
  <c r="K8" i="1"/>
  <c r="J8" i="1"/>
  <c r="I8" i="1"/>
  <c r="H8" i="1"/>
  <c r="G8" i="1"/>
  <c r="F8" i="1"/>
  <c r="X7" i="1"/>
  <c r="W7" i="1"/>
  <c r="V7" i="1"/>
  <c r="U7" i="1"/>
  <c r="T7" i="1"/>
  <c r="S7" i="1"/>
  <c r="Q7" i="1"/>
  <c r="P7" i="1"/>
  <c r="O7" i="1"/>
  <c r="N7" i="1"/>
  <c r="M7" i="1"/>
  <c r="L7" i="1"/>
  <c r="K7" i="1"/>
  <c r="J7" i="1"/>
  <c r="I7" i="1"/>
  <c r="H7" i="1"/>
  <c r="G7" i="1"/>
  <c r="F7" i="1"/>
  <c r="X6" i="1"/>
  <c r="W6" i="1"/>
  <c r="V6" i="1"/>
  <c r="U6" i="1"/>
  <c r="T6" i="1"/>
  <c r="S6" i="1"/>
  <c r="P6" i="1"/>
  <c r="O6" i="1"/>
  <c r="N6" i="1"/>
  <c r="M6" i="1"/>
  <c r="L6" i="1"/>
  <c r="K6" i="1"/>
  <c r="J6" i="1"/>
  <c r="I6" i="1"/>
  <c r="H6" i="1"/>
  <c r="G6" i="1"/>
  <c r="F6" i="1"/>
  <c r="AB3" i="1"/>
  <c r="Z3" i="1"/>
</calcChain>
</file>

<file path=xl/sharedStrings.xml><?xml version="1.0" encoding="utf-8"?>
<sst xmlns="http://schemas.openxmlformats.org/spreadsheetml/2006/main" count="75" uniqueCount="66">
  <si>
    <t>Sanzione Reverse Cherge</t>
  </si>
  <si>
    <t>Ritardo pagamento</t>
  </si>
  <si>
    <t>Imposta di bollo</t>
  </si>
  <si>
    <t>Imposta di bollo dichiarazioni</t>
  </si>
  <si>
    <t>Imposta di bollo Virtuale</t>
  </si>
  <si>
    <t>Imposta di registro locazione</t>
  </si>
  <si>
    <t>Sanzioni Locazione (Ordinarie)</t>
  </si>
  <si>
    <t>Dichiarazione Infedele con utilizzo di documentazione falsa</t>
  </si>
  <si>
    <t>Sanzione omessa imposta di registro</t>
  </si>
  <si>
    <t>Dichiarazione tardiva</t>
  </si>
  <si>
    <t>Dichiarazione Infedele con Omesso versamento di imposte</t>
  </si>
  <si>
    <t>Data scadenza Presentazione 30 Novembre</t>
  </si>
  <si>
    <t>Dichiarazione Iva</t>
  </si>
  <si>
    <t>Liquidazioni periodiche</t>
  </si>
  <si>
    <t>Spesometro</t>
  </si>
  <si>
    <t>Tipo</t>
  </si>
  <si>
    <t>Termine</t>
  </si>
  <si>
    <t>Sanzione</t>
  </si>
  <si>
    <t>Riduzione</t>
  </si>
  <si>
    <t xml:space="preserve">Errore Dichiarazione </t>
  </si>
  <si>
    <t>Se operazione non riportata in contabilità (min 5% - Max 10% Iva)</t>
  </si>
  <si>
    <t xml:space="preserve">Applicazione dell'Iva ordinaria anczihè con inversione (min 90% - Max 180% Iva) con intento di frode altrimenti 250 euro </t>
  </si>
  <si>
    <t xml:space="preserve">Applicazione dell'Iva ordinaria anczihè con inversione (min 90% - Max 180% Iva) senza intento di frode altrimenti 250 euro </t>
  </si>
  <si>
    <t>Applicazione reverse charge su operazioni non soggette ad Iva</t>
  </si>
  <si>
    <t>Sanzione 30%</t>
  </si>
  <si>
    <t>Sanzione 100%</t>
  </si>
  <si>
    <t>Sanzione 150%</t>
  </si>
  <si>
    <t>Sanzione 200%</t>
  </si>
  <si>
    <t>Sanzione 10%</t>
  </si>
  <si>
    <t>Sanzione 60%</t>
  </si>
  <si>
    <t>Sanzione 120%</t>
  </si>
  <si>
    <t>Sanzione 240%</t>
  </si>
  <si>
    <t>Sanzione 135%</t>
  </si>
  <si>
    <t xml:space="preserve">Sanzione </t>
  </si>
  <si>
    <t>Tremine presentazione tardiva</t>
  </si>
  <si>
    <t>60%-120%</t>
  </si>
  <si>
    <t>Sprint</t>
  </si>
  <si>
    <t>Entro 14 giorni successivi alla scadenza matura giornalmente in misura pari allo 0,2% giornaliero fino al 2,8% del quattordicesimo giorno</t>
  </si>
  <si>
    <t>0,2% per ogni giorno di ritardo</t>
  </si>
  <si>
    <t>n.a.</t>
  </si>
  <si>
    <t>Breve</t>
  </si>
  <si>
    <t>Imposte pagate a partire dal quindicesimo giorno fino a 30 giorni successivi alla scadenza</t>
  </si>
  <si>
    <t>3% fisso (un decimo del 30%)</t>
  </si>
  <si>
    <t>60% 
(con un minimo di 200 euro)</t>
  </si>
  <si>
    <t>6% 
(con un minimo di 20 euro)</t>
  </si>
  <si>
    <t>Entro 90 giorni</t>
  </si>
  <si>
    <t>Imposte pagate dal trentunesimo giorno fino al novantesimo giorno successivo alla scadenza</t>
  </si>
  <si>
    <t>3,33% fisso (un nono del 30%)</t>
  </si>
  <si>
    <t>Lungo</t>
  </si>
  <si>
    <t>Imposte risultanti dalle dichiarazioni annuali, dal novantunesimo giorno fino al termine di presentazione della dichiarazione relativa all'anno nel corso del quale è commessa la violazione</t>
  </si>
  <si>
    <t>3,75 fisso (un ottavo del 30)</t>
  </si>
  <si>
    <t>Biennale</t>
  </si>
  <si>
    <t>Dopo un anno, ma entro due anni dall’omissione o dall’errore</t>
  </si>
  <si>
    <t>4,29% fisso (un settimo del 30%)</t>
  </si>
  <si>
    <t>Ultrabiennale</t>
  </si>
  <si>
    <t>Dopo due anni dall’omissione o dall’errore</t>
  </si>
  <si>
    <t>5% fisso (un sesto del 30%)</t>
  </si>
  <si>
    <t>Data Omessa applicazione Reverse</t>
  </si>
  <si>
    <t>Data Versamento con ravvedimento</t>
  </si>
  <si>
    <t>giorni del ravvedmento</t>
  </si>
  <si>
    <t>Tasso di interesse</t>
  </si>
  <si>
    <t>Sanzione calcolata</t>
  </si>
  <si>
    <t>Iva omessa</t>
  </si>
  <si>
    <t>CALCOLO INTERESSI DA VERSARE</t>
  </si>
  <si>
    <t>INTERESSI DA VERSARE</t>
  </si>
  <si>
    <t>CALCOLO SANZIONE DA VERSARE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</si>
</sst>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top" wrapText="1"/>
    </xf>
    <xf numFmtId="14" fontId="0" fillId="0" borderId="0" xfId="0" applyNumberFormat="1"/>
    <xf numFmtId="0" fontId="3" fillId="2" borderId="0" xfId="0" applyFont="1" applyFill="1" applyAlignment="1">
      <alignment vertical="center" wrapText="1"/>
    </xf>
    <xf numFmtId="43" fontId="3" fillId="2" borderId="0" xfId="1" applyFont="1" applyFill="1" applyAlignment="1">
      <alignment vertical="center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9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43" fontId="4" fillId="0" borderId="0" xfId="1" applyFont="1" applyAlignment="1">
      <alignment vertical="center" wrapText="1"/>
    </xf>
    <xf numFmtId="9" fontId="4" fillId="0" borderId="0" xfId="1" applyNumberFormat="1" applyFont="1" applyAlignment="1">
      <alignment horizontal="center" vertical="center" wrapText="1"/>
    </xf>
    <xf numFmtId="9" fontId="4" fillId="0" borderId="0" xfId="0" applyNumberFormat="1" applyFont="1" applyAlignment="1">
      <alignment vertical="center" wrapText="1"/>
    </xf>
    <xf numFmtId="9" fontId="2" fillId="0" borderId="0" xfId="1" applyNumberFormat="1" applyFont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3" fontId="5" fillId="0" borderId="0" xfId="1" applyNumberFormat="1" applyFont="1" applyAlignment="1">
      <alignment vertical="center" wrapText="1"/>
    </xf>
    <xf numFmtId="10" fontId="5" fillId="0" borderId="0" xfId="0" applyNumberFormat="1" applyFont="1"/>
    <xf numFmtId="43" fontId="5" fillId="0" borderId="0" xfId="1" applyFont="1"/>
    <xf numFmtId="10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2" applyNumberFormat="1" applyFont="1"/>
    <xf numFmtId="2" fontId="5" fillId="0" borderId="0" xfId="1" applyNumberFormat="1" applyFont="1" applyAlignment="1">
      <alignment vertical="center" wrapText="1"/>
    </xf>
    <xf numFmtId="10" fontId="5" fillId="0" borderId="0" xfId="2" applyNumberFormat="1" applyFont="1" applyAlignment="1">
      <alignment vertical="center" wrapText="1"/>
    </xf>
    <xf numFmtId="10" fontId="5" fillId="0" borderId="0" xfId="2" applyNumberFormat="1" applyFont="1"/>
    <xf numFmtId="10" fontId="0" fillId="0" borderId="0" xfId="2" applyNumberFormat="1" applyFont="1" applyAlignment="1">
      <alignment vertical="center" wrapText="1"/>
    </xf>
    <xf numFmtId="10" fontId="0" fillId="0" borderId="0" xfId="2" applyNumberFormat="1" applyFont="1" applyAlignment="1">
      <alignment horizontal="center" wrapText="1"/>
    </xf>
    <xf numFmtId="43" fontId="0" fillId="0" borderId="0" xfId="1" applyFont="1"/>
    <xf numFmtId="12" fontId="5" fillId="0" borderId="0" xfId="1" applyNumberFormat="1" applyFont="1" applyAlignment="1">
      <alignment vertical="center" wrapText="1"/>
    </xf>
    <xf numFmtId="9" fontId="0" fillId="0" borderId="0" xfId="2" applyNumberFormat="1" applyFont="1"/>
    <xf numFmtId="14" fontId="2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3" borderId="0" xfId="1" applyFont="1" applyFill="1" applyAlignment="1">
      <alignment horizontal="center" vertical="center"/>
    </xf>
    <xf numFmtId="9" fontId="2" fillId="3" borderId="0" xfId="0" applyNumberFormat="1" applyFont="1" applyFill="1" applyAlignment="1">
      <alignment horizontal="center" vertical="center"/>
    </xf>
    <xf numFmtId="43" fontId="2" fillId="4" borderId="0" xfId="1" applyFont="1" applyFill="1" applyAlignment="1">
      <alignment horizontal="center" vertical="center"/>
    </xf>
    <xf numFmtId="0" fontId="6" fillId="0" borderId="0" xfId="0" applyFont="1"/>
    <xf numFmtId="0" fontId="4" fillId="0" borderId="0" xfId="0" applyFont="1" applyFill="1" applyAlignment="1">
      <alignment vertical="center" wrapText="1"/>
    </xf>
    <xf numFmtId="0" fontId="0" fillId="0" borderId="0" xfId="0" applyFill="1"/>
    <xf numFmtId="43" fontId="2" fillId="0" borderId="0" xfId="1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0"/>
  <sheetViews>
    <sheetView tabSelected="1" topLeftCell="A11" zoomScale="55" zoomScaleNormal="55" workbookViewId="0">
      <selection activeCell="I21" sqref="I21"/>
    </sheetView>
  </sheetViews>
  <sheetFormatPr defaultRowHeight="13.2" x14ac:dyDescent="0.25"/>
  <cols>
    <col min="2" max="2" width="17.44140625" customWidth="1"/>
    <col min="3" max="3" width="41.6640625" customWidth="1"/>
    <col min="4" max="4" width="22.6640625" customWidth="1"/>
    <col min="5" max="5" width="13.33203125" customWidth="1"/>
    <col min="6" max="7" width="16.33203125" hidden="1" customWidth="1"/>
    <col min="8" max="11" width="20.88671875" customWidth="1"/>
    <col min="12" max="13" width="16.33203125" customWidth="1"/>
    <col min="14" max="15" width="14.33203125" customWidth="1"/>
    <col min="16" max="17" width="13.6640625" customWidth="1"/>
    <col min="18" max="18" width="16.33203125" customWidth="1"/>
    <col min="19" max="22" width="14.33203125" customWidth="1"/>
    <col min="23" max="24" width="13.44140625" customWidth="1"/>
    <col min="25" max="26" width="14.33203125" customWidth="1"/>
    <col min="27" max="27" width="16" customWidth="1"/>
    <col min="28" max="28" width="10.88671875" bestFit="1" customWidth="1"/>
  </cols>
  <sheetData>
    <row r="1" spans="2:30" x14ac:dyDescent="0.25">
      <c r="H1" s="1"/>
      <c r="I1" s="1"/>
      <c r="J1" s="1"/>
      <c r="K1" s="1"/>
      <c r="M1" s="1"/>
      <c r="N1" s="1"/>
      <c r="O1" s="1"/>
      <c r="S1" s="1"/>
      <c r="T1" s="1"/>
      <c r="U1" s="1"/>
      <c r="V1" s="1"/>
    </row>
    <row r="2" spans="2:30" ht="66" x14ac:dyDescent="0.25">
      <c r="H2" s="1" t="s">
        <v>0</v>
      </c>
      <c r="I2" s="1" t="s">
        <v>0</v>
      </c>
      <c r="J2" s="1" t="s">
        <v>0</v>
      </c>
      <c r="K2" s="1" t="s">
        <v>0</v>
      </c>
      <c r="L2" s="1" t="s">
        <v>1</v>
      </c>
      <c r="M2" s="1" t="s">
        <v>2</v>
      </c>
      <c r="N2" s="1"/>
      <c r="O2" s="1" t="s">
        <v>3</v>
      </c>
      <c r="P2" s="1" t="s">
        <v>4</v>
      </c>
      <c r="Q2" s="1" t="s">
        <v>5</v>
      </c>
      <c r="R2" s="1" t="s">
        <v>6</v>
      </c>
      <c r="S2" s="1" t="s">
        <v>5</v>
      </c>
      <c r="T2" s="1" t="s">
        <v>5</v>
      </c>
      <c r="U2" s="1" t="s">
        <v>7</v>
      </c>
      <c r="V2" s="1" t="s">
        <v>8</v>
      </c>
      <c r="W2" s="1" t="s">
        <v>9</v>
      </c>
      <c r="X2" s="1" t="s">
        <v>10</v>
      </c>
      <c r="Y2" s="1" t="s">
        <v>11</v>
      </c>
      <c r="Z2" s="2">
        <v>43799</v>
      </c>
      <c r="AA2" s="1" t="s">
        <v>12</v>
      </c>
      <c r="AB2" s="2">
        <v>43585</v>
      </c>
      <c r="AC2" s="1" t="s">
        <v>13</v>
      </c>
      <c r="AD2" s="2" t="s">
        <v>14</v>
      </c>
    </row>
    <row r="3" spans="2:30" ht="110.4" x14ac:dyDescent="0.25">
      <c r="B3" s="3" t="s">
        <v>15</v>
      </c>
      <c r="C3" s="3" t="s">
        <v>16</v>
      </c>
      <c r="D3" s="3" t="s">
        <v>17</v>
      </c>
      <c r="E3" s="4" t="s">
        <v>18</v>
      </c>
      <c r="F3" s="5" t="s">
        <v>19</v>
      </c>
      <c r="G3" s="5" t="s">
        <v>19</v>
      </c>
      <c r="H3" s="6" t="s">
        <v>20</v>
      </c>
      <c r="I3" s="6" t="s">
        <v>21</v>
      </c>
      <c r="J3" s="6" t="s">
        <v>22</v>
      </c>
      <c r="K3" s="3" t="s">
        <v>23</v>
      </c>
      <c r="L3" s="7" t="s">
        <v>24</v>
      </c>
      <c r="M3" s="8" t="s">
        <v>25</v>
      </c>
      <c r="N3" s="8" t="s">
        <v>26</v>
      </c>
      <c r="O3" s="8" t="s">
        <v>27</v>
      </c>
      <c r="P3" s="8" t="s">
        <v>28</v>
      </c>
      <c r="Q3" s="8" t="s">
        <v>29</v>
      </c>
      <c r="R3" s="8" t="s">
        <v>30</v>
      </c>
      <c r="S3" s="8" t="s">
        <v>30</v>
      </c>
      <c r="T3" s="8" t="s">
        <v>31</v>
      </c>
      <c r="U3" s="8" t="s">
        <v>32</v>
      </c>
      <c r="V3" s="8" t="s">
        <v>33</v>
      </c>
      <c r="W3">
        <v>250</v>
      </c>
      <c r="X3" s="9">
        <v>0.3</v>
      </c>
      <c r="Y3" s="10" t="s">
        <v>34</v>
      </c>
      <c r="Z3" s="2">
        <f>+Z2+90</f>
        <v>43889</v>
      </c>
      <c r="AB3" s="2">
        <f>+AB2+90</f>
        <v>43675</v>
      </c>
    </row>
    <row r="4" spans="2:30" ht="22.2" customHeight="1" x14ac:dyDescent="0.25">
      <c r="B4" s="11"/>
      <c r="C4" s="11"/>
      <c r="D4" s="11"/>
      <c r="E4" s="12" t="s">
        <v>17</v>
      </c>
      <c r="F4" s="12">
        <v>250</v>
      </c>
      <c r="G4" s="13">
        <v>0.9</v>
      </c>
      <c r="H4" s="14">
        <v>0.05</v>
      </c>
      <c r="I4" s="14">
        <v>0.9</v>
      </c>
      <c r="J4" s="12">
        <v>250</v>
      </c>
      <c r="K4" s="14">
        <v>0.05</v>
      </c>
      <c r="L4" s="15">
        <v>0.3</v>
      </c>
      <c r="M4" s="16">
        <v>1</v>
      </c>
      <c r="N4" s="16">
        <v>1.5</v>
      </c>
      <c r="O4" s="16">
        <v>2</v>
      </c>
      <c r="P4" s="16">
        <v>0.1</v>
      </c>
      <c r="Q4" s="16">
        <v>0.6</v>
      </c>
      <c r="R4" s="17" t="s">
        <v>35</v>
      </c>
      <c r="S4" s="16">
        <v>1.2</v>
      </c>
      <c r="T4" s="16">
        <v>2.4</v>
      </c>
      <c r="U4" s="16">
        <v>1.35</v>
      </c>
      <c r="V4" s="16">
        <v>2</v>
      </c>
      <c r="X4" s="9"/>
      <c r="Y4" s="10"/>
      <c r="Z4" s="2"/>
      <c r="AB4" s="2"/>
    </row>
    <row r="5" spans="2:30" ht="74.400000000000006" customHeight="1" x14ac:dyDescent="0.25">
      <c r="B5" s="11" t="s">
        <v>36</v>
      </c>
      <c r="C5" s="18" t="s">
        <v>37</v>
      </c>
      <c r="D5" s="18" t="s">
        <v>38</v>
      </c>
      <c r="E5" s="19"/>
      <c r="F5" s="19"/>
      <c r="G5" s="20">
        <v>2E-3</v>
      </c>
      <c r="H5" s="20">
        <v>2E-3</v>
      </c>
      <c r="I5" s="20">
        <v>2E-3</v>
      </c>
      <c r="J5" s="21">
        <v>1.002</v>
      </c>
      <c r="K5" s="20">
        <v>2E-3</v>
      </c>
      <c r="L5" s="22">
        <v>2E-3</v>
      </c>
      <c r="M5" s="22">
        <v>2E-3</v>
      </c>
      <c r="N5" s="22">
        <v>2E-3</v>
      </c>
      <c r="O5" s="22">
        <v>2E-3</v>
      </c>
      <c r="P5" s="22">
        <v>2E-3</v>
      </c>
      <c r="Q5" s="22">
        <v>2E-3</v>
      </c>
      <c r="R5" s="23" t="s">
        <v>39</v>
      </c>
      <c r="S5" s="22">
        <v>2E-3</v>
      </c>
      <c r="T5" s="22">
        <v>2E-3</v>
      </c>
      <c r="U5" s="22">
        <v>2E-3</v>
      </c>
      <c r="V5" s="22">
        <v>2E-3</v>
      </c>
      <c r="W5" s="22">
        <v>2E-3</v>
      </c>
      <c r="X5" s="24">
        <v>2E-3</v>
      </c>
    </row>
    <row r="6" spans="2:30" ht="74.400000000000006" customHeight="1" x14ac:dyDescent="0.25">
      <c r="B6" s="11" t="s">
        <v>40</v>
      </c>
      <c r="C6" s="18" t="s">
        <v>41</v>
      </c>
      <c r="D6" s="18" t="s">
        <v>42</v>
      </c>
      <c r="E6" s="19">
        <v>0.1</v>
      </c>
      <c r="F6" s="25">
        <f>+E6*$F$4</f>
        <v>25</v>
      </c>
      <c r="G6" s="26">
        <f>+$G$4*E6</f>
        <v>9.0000000000000011E-2</v>
      </c>
      <c r="H6" s="27">
        <f>+$H$4/10</f>
        <v>5.0000000000000001E-3</v>
      </c>
      <c r="I6" s="27">
        <f>+I4/10</f>
        <v>0.09</v>
      </c>
      <c r="J6" s="21">
        <f>+J4/10</f>
        <v>25</v>
      </c>
      <c r="K6" s="27">
        <f>+$H$4/10</f>
        <v>5.0000000000000001E-3</v>
      </c>
      <c r="L6" s="28">
        <f>+$L$4*E6</f>
        <v>0.03</v>
      </c>
      <c r="M6" s="24">
        <f>100%/3</f>
        <v>0.33333333333333331</v>
      </c>
      <c r="N6" s="24">
        <f>150%/3</f>
        <v>0.5</v>
      </c>
      <c r="O6" s="24">
        <f>200%/3</f>
        <v>0.66666666666666663</v>
      </c>
      <c r="P6" s="24">
        <f>10%/3</f>
        <v>3.3333333333333333E-2</v>
      </c>
      <c r="Q6" s="29" t="s">
        <v>43</v>
      </c>
      <c r="R6" s="29" t="s">
        <v>44</v>
      </c>
      <c r="S6" s="24">
        <f>120%/3</f>
        <v>0.39999999999999997</v>
      </c>
      <c r="T6" s="24">
        <f>240%/3</f>
        <v>0.79999999999999993</v>
      </c>
      <c r="U6" s="24">
        <f>135%/3</f>
        <v>0.45</v>
      </c>
      <c r="V6" s="24">
        <f>200%/3</f>
        <v>0.66666666666666663</v>
      </c>
      <c r="W6" s="30">
        <f>+E6*$W$3</f>
        <v>25</v>
      </c>
      <c r="X6" s="24">
        <f>+$X$3*E6</f>
        <v>0.03</v>
      </c>
    </row>
    <row r="7" spans="2:30" ht="74.400000000000006" customHeight="1" x14ac:dyDescent="0.25">
      <c r="B7" s="11" t="s">
        <v>45</v>
      </c>
      <c r="C7" s="18" t="s">
        <v>46</v>
      </c>
      <c r="D7" s="18" t="s">
        <v>47</v>
      </c>
      <c r="E7" s="31">
        <v>0.1111111111111111</v>
      </c>
      <c r="F7" s="25">
        <f>+E7*$F$4</f>
        <v>27.777777777777775</v>
      </c>
      <c r="G7" s="26">
        <f>+$G$4*E7</f>
        <v>9.9999999999999992E-2</v>
      </c>
      <c r="H7" s="27">
        <f>+$H$4/9</f>
        <v>5.5555555555555558E-3</v>
      </c>
      <c r="I7" s="27">
        <f>+I4/9</f>
        <v>0.1</v>
      </c>
      <c r="J7" s="21">
        <f>+J4/9</f>
        <v>27.777777777777779</v>
      </c>
      <c r="K7" s="27">
        <f>+$H$4/9</f>
        <v>5.5555555555555558E-3</v>
      </c>
      <c r="L7" s="28">
        <f>+$L$4*E7</f>
        <v>3.3333333333333333E-2</v>
      </c>
      <c r="M7" s="24">
        <f>100%/9</f>
        <v>0.1111111111111111</v>
      </c>
      <c r="N7" s="24">
        <f>150%/9</f>
        <v>0.16666666666666666</v>
      </c>
      <c r="O7" s="24">
        <f>200%/9</f>
        <v>0.22222222222222221</v>
      </c>
      <c r="P7" s="24">
        <f>10%/9</f>
        <v>1.1111111111111112E-2</v>
      </c>
      <c r="Q7" s="24">
        <f>60%/9</f>
        <v>6.6666666666666666E-2</v>
      </c>
      <c r="R7" s="32">
        <v>1.2</v>
      </c>
      <c r="S7" s="24">
        <f>120%/9</f>
        <v>0.13333333333333333</v>
      </c>
      <c r="T7" s="24">
        <f>240%/9</f>
        <v>0.26666666666666666</v>
      </c>
      <c r="U7" s="24">
        <f>135%/9</f>
        <v>0.15000000000000002</v>
      </c>
      <c r="V7" s="24">
        <f>200%/9</f>
        <v>0.22222222222222221</v>
      </c>
      <c r="W7" s="30">
        <f>+E7*$W$3</f>
        <v>27.777777777777775</v>
      </c>
      <c r="X7" s="24">
        <f>+$X$3*E7</f>
        <v>3.3333333333333333E-2</v>
      </c>
    </row>
    <row r="8" spans="2:30" ht="74.400000000000006" customHeight="1" x14ac:dyDescent="0.25">
      <c r="B8" s="11" t="s">
        <v>48</v>
      </c>
      <c r="C8" s="18" t="s">
        <v>49</v>
      </c>
      <c r="D8" s="18" t="s">
        <v>50</v>
      </c>
      <c r="E8" s="31">
        <v>0.125</v>
      </c>
      <c r="F8" s="25">
        <f>+E8*$F$4</f>
        <v>31.25</v>
      </c>
      <c r="G8" s="26">
        <f>+$G$4*E8</f>
        <v>0.1125</v>
      </c>
      <c r="H8" s="27">
        <f>+$H$4/8</f>
        <v>6.2500000000000003E-3</v>
      </c>
      <c r="I8" s="27">
        <f>+I4/8</f>
        <v>0.1125</v>
      </c>
      <c r="J8" s="21">
        <f>+J4/8</f>
        <v>31.25</v>
      </c>
      <c r="K8" s="27">
        <f>+$H$4/8</f>
        <v>6.2500000000000003E-3</v>
      </c>
      <c r="L8" s="28">
        <f>+$L$4*E8</f>
        <v>3.7499999999999999E-2</v>
      </c>
      <c r="M8" s="24">
        <f>100%/8</f>
        <v>0.125</v>
      </c>
      <c r="N8" s="24">
        <f>150%/8</f>
        <v>0.1875</v>
      </c>
      <c r="O8" s="24">
        <f>200%/8</f>
        <v>0.25</v>
      </c>
      <c r="P8" s="24">
        <f>10%/8</f>
        <v>1.2500000000000001E-2</v>
      </c>
      <c r="Q8" s="24">
        <f>60%/8</f>
        <v>7.4999999999999997E-2</v>
      </c>
      <c r="R8" s="32">
        <v>1.2</v>
      </c>
      <c r="S8" s="24">
        <f>120%/8</f>
        <v>0.15</v>
      </c>
      <c r="T8" s="24">
        <f>240%/8</f>
        <v>0.3</v>
      </c>
      <c r="U8" s="24">
        <f>135%/8</f>
        <v>0.16875000000000001</v>
      </c>
      <c r="V8" s="24">
        <f>200%/8</f>
        <v>0.25</v>
      </c>
      <c r="W8" s="30">
        <f>+E8*$W$3</f>
        <v>31.25</v>
      </c>
      <c r="X8" s="24">
        <f>+$X$3*E8</f>
        <v>3.7499999999999999E-2</v>
      </c>
    </row>
    <row r="9" spans="2:30" ht="74.400000000000006" customHeight="1" x14ac:dyDescent="0.25">
      <c r="B9" s="11" t="s">
        <v>51</v>
      </c>
      <c r="C9" s="18" t="s">
        <v>52</v>
      </c>
      <c r="D9" s="18" t="s">
        <v>53</v>
      </c>
      <c r="E9" s="31">
        <v>0.14285714285714285</v>
      </c>
      <c r="F9" s="25">
        <f>+E9*$F$4</f>
        <v>35.714285714285715</v>
      </c>
      <c r="G9" s="26">
        <f>+$G$4*E9</f>
        <v>0.12857142857142856</v>
      </c>
      <c r="H9" s="27">
        <f>+$H$4/7</f>
        <v>7.1428571428571435E-3</v>
      </c>
      <c r="I9" s="27">
        <f>+I4/7</f>
        <v>0.12857142857142859</v>
      </c>
      <c r="J9" s="21">
        <f>+J4/7</f>
        <v>35.714285714285715</v>
      </c>
      <c r="K9" s="27">
        <f>+$H$4/7</f>
        <v>7.1428571428571435E-3</v>
      </c>
      <c r="L9" s="28">
        <f>+$L$4*E9</f>
        <v>4.2857142857142851E-2</v>
      </c>
      <c r="M9" s="24">
        <f>100%/7</f>
        <v>0.14285714285714285</v>
      </c>
      <c r="N9" s="24">
        <f>150%/7</f>
        <v>0.21428571428571427</v>
      </c>
      <c r="O9" s="24">
        <f>200%/7</f>
        <v>0.2857142857142857</v>
      </c>
      <c r="P9" s="24">
        <f>10%/7</f>
        <v>1.4285714285714287E-2</v>
      </c>
      <c r="Q9" s="24">
        <f>60%/7</f>
        <v>8.5714285714285715E-2</v>
      </c>
      <c r="R9" s="32">
        <v>1.2</v>
      </c>
      <c r="S9" s="24">
        <f>120%/7</f>
        <v>0.17142857142857143</v>
      </c>
      <c r="T9" s="24">
        <f>240%/7</f>
        <v>0.34285714285714286</v>
      </c>
      <c r="U9" s="24">
        <f>135%/7</f>
        <v>0.19285714285714287</v>
      </c>
      <c r="V9" s="24">
        <f>200%/7</f>
        <v>0.2857142857142857</v>
      </c>
      <c r="W9" s="30">
        <f>+E9*$W$3</f>
        <v>35.714285714285715</v>
      </c>
      <c r="X9" s="24">
        <f>+$X$3*E9</f>
        <v>4.2857142857142851E-2</v>
      </c>
    </row>
    <row r="10" spans="2:30" ht="74.400000000000006" customHeight="1" x14ac:dyDescent="0.25">
      <c r="B10" s="11" t="s">
        <v>54</v>
      </c>
      <c r="C10" s="18" t="s">
        <v>55</v>
      </c>
      <c r="D10" s="18" t="s">
        <v>56</v>
      </c>
      <c r="E10" s="31">
        <v>0.16666666666666666</v>
      </c>
      <c r="F10" s="25">
        <f>+E10*$F$4</f>
        <v>41.666666666666664</v>
      </c>
      <c r="G10" s="26">
        <f>+$G$4*E10</f>
        <v>0.15</v>
      </c>
      <c r="H10" s="27">
        <f>+$H$4/6</f>
        <v>8.3333333333333332E-3</v>
      </c>
      <c r="I10" s="27">
        <f>+I4/6</f>
        <v>0.15</v>
      </c>
      <c r="J10" s="21">
        <f>+J4/6</f>
        <v>41.666666666666664</v>
      </c>
      <c r="K10" s="27">
        <f>+$H$4/6</f>
        <v>8.3333333333333332E-3</v>
      </c>
      <c r="L10" s="28">
        <f>+$L$4*E10</f>
        <v>4.9999999999999996E-2</v>
      </c>
      <c r="M10" s="24">
        <f>100%/6</f>
        <v>0.16666666666666666</v>
      </c>
      <c r="N10" s="24">
        <f>150%/6</f>
        <v>0.25</v>
      </c>
      <c r="O10" s="24">
        <f>200%/6</f>
        <v>0.33333333333333331</v>
      </c>
      <c r="P10" s="24">
        <f>10%/6</f>
        <v>1.6666666666666666E-2</v>
      </c>
      <c r="Q10" s="24">
        <f>60%/6</f>
        <v>9.9999999999999992E-2</v>
      </c>
      <c r="R10" s="32">
        <v>1.2</v>
      </c>
      <c r="S10" s="24">
        <f>120%/6</f>
        <v>0.19999999999999998</v>
      </c>
      <c r="T10" s="24">
        <f>240%/6</f>
        <v>0.39999999999999997</v>
      </c>
      <c r="U10" s="24">
        <f>135%/6</f>
        <v>0.22500000000000001</v>
      </c>
      <c r="V10" s="24">
        <f>200%/6</f>
        <v>0.33333333333333331</v>
      </c>
      <c r="W10" s="30">
        <f>+E10*$W$3</f>
        <v>41.666666666666664</v>
      </c>
      <c r="X10" s="24">
        <f>+$X$3*E10</f>
        <v>4.9999999999999996E-2</v>
      </c>
    </row>
    <row r="11" spans="2:30" ht="48" customHeight="1" x14ac:dyDescent="0.25"/>
    <row r="12" spans="2:30" ht="46.2" customHeight="1" x14ac:dyDescent="0.25">
      <c r="B12" s="11" t="s">
        <v>57</v>
      </c>
      <c r="D12" s="33">
        <v>43906</v>
      </c>
    </row>
    <row r="13" spans="2:30" x14ac:dyDescent="0.25">
      <c r="D13" s="34"/>
    </row>
    <row r="14" spans="2:30" ht="57" customHeight="1" x14ac:dyDescent="0.25">
      <c r="B14" s="11" t="s">
        <v>58</v>
      </c>
      <c r="D14" s="33">
        <v>44104</v>
      </c>
    </row>
    <row r="15" spans="2:30" x14ac:dyDescent="0.25">
      <c r="D15" s="34"/>
    </row>
    <row r="16" spans="2:30" ht="46.2" customHeight="1" x14ac:dyDescent="0.25">
      <c r="B16" s="11" t="s">
        <v>62</v>
      </c>
      <c r="D16" s="35">
        <v>500</v>
      </c>
    </row>
    <row r="17" spans="2:4" s="40" customFormat="1" ht="15.6" customHeight="1" x14ac:dyDescent="0.25">
      <c r="B17" s="39"/>
      <c r="D17" s="41"/>
    </row>
    <row r="18" spans="2:4" ht="17.399999999999999" x14ac:dyDescent="0.3">
      <c r="B18" s="38" t="s">
        <v>65</v>
      </c>
      <c r="D18" s="34"/>
    </row>
    <row r="19" spans="2:4" ht="46.2" customHeight="1" x14ac:dyDescent="0.25">
      <c r="B19" s="11" t="s">
        <v>17</v>
      </c>
      <c r="D19" s="36">
        <f>+I8</f>
        <v>0.1125</v>
      </c>
    </row>
    <row r="20" spans="2:4" x14ac:dyDescent="0.25">
      <c r="D20" s="34"/>
    </row>
    <row r="21" spans="2:4" ht="46.2" customHeight="1" x14ac:dyDescent="0.25">
      <c r="B21" s="43" t="s">
        <v>61</v>
      </c>
      <c r="C21" s="42"/>
      <c r="D21" s="37">
        <f>+D19*D16</f>
        <v>56.25</v>
      </c>
    </row>
    <row r="24" spans="2:4" ht="46.2" customHeight="1" x14ac:dyDescent="0.25"/>
    <row r="25" spans="2:4" ht="17.399999999999999" x14ac:dyDescent="0.3">
      <c r="B25" s="38" t="s">
        <v>63</v>
      </c>
      <c r="D25" s="34"/>
    </row>
    <row r="26" spans="2:4" ht="46.2" customHeight="1" x14ac:dyDescent="0.25">
      <c r="B26" s="11" t="s">
        <v>59</v>
      </c>
      <c r="D26" s="37">
        <f>+D14-D12+1</f>
        <v>199</v>
      </c>
    </row>
    <row r="27" spans="2:4" x14ac:dyDescent="0.25">
      <c r="D27" s="34"/>
    </row>
    <row r="28" spans="2:4" ht="27.6" x14ac:dyDescent="0.25">
      <c r="B28" s="11" t="s">
        <v>60</v>
      </c>
      <c r="D28" s="36">
        <v>0.01</v>
      </c>
    </row>
    <row r="30" spans="2:4" ht="46.2" customHeight="1" x14ac:dyDescent="0.25">
      <c r="B30" s="43" t="s">
        <v>64</v>
      </c>
      <c r="C30" s="42"/>
      <c r="D30" s="37">
        <f>+D16*D28/365*D26</f>
        <v>2.7260273972602738</v>
      </c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 Ravvedimento</vt:lpstr>
      <vt:lpstr>'Tabella Ravvedimento'!Area_stampa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2020-03-16T07:13:33Z</dcterms:created>
  <dcterms:modified xsi:type="dcterms:W3CDTF">2020-03-16T07:24:52Z</dcterms:modified>
</cp:coreProperties>
</file>